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hmuelle1\Desktop\"/>
    </mc:Choice>
  </mc:AlternateContent>
  <xr:revisionPtr revIDLastSave="0" documentId="8_{81ED0584-648A-4863-9888-910CE28D28D7}" xr6:coauthVersionLast="36" xr6:coauthVersionMax="36" xr10:uidLastSave="{00000000-0000-0000-0000-000000000000}"/>
  <bookViews>
    <workbookView xWindow="0" yWindow="0" windowWidth="9580" windowHeight="2240" xr2:uid="{00000000-000D-0000-FFFF-FFFF00000000}"/>
  </bookViews>
  <sheets>
    <sheet name="bis Okt 24" sheetId="3" r:id="rId1"/>
    <sheet name="ab Nov 24" sheetId="1" r:id="rId2"/>
    <sheet name="ab Febr 25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" l="1"/>
  <c r="D41" i="2"/>
  <c r="C39" i="2"/>
  <c r="D34" i="1"/>
  <c r="C34" i="1"/>
  <c r="D36" i="1"/>
  <c r="C36" i="1"/>
  <c r="C35" i="3"/>
  <c r="B22" i="2" l="1"/>
  <c r="D22" i="2"/>
  <c r="C22" i="2"/>
  <c r="B21" i="2"/>
  <c r="D21" i="2"/>
  <c r="D14" i="2"/>
  <c r="C21" i="2"/>
  <c r="C15" i="2"/>
  <c r="F14" i="2"/>
  <c r="C10" i="2"/>
  <c r="C18" i="3" l="1"/>
  <c r="C17" i="3"/>
  <c r="C18" i="1"/>
  <c r="C33" i="3" l="1"/>
  <c r="D18" i="3"/>
  <c r="D17" i="3"/>
  <c r="D16" i="3"/>
  <c r="D15" i="3"/>
  <c r="D14" i="3"/>
  <c r="C16" i="3"/>
  <c r="C15" i="3"/>
  <c r="C14" i="3"/>
  <c r="D11" i="3"/>
  <c r="D10" i="3"/>
  <c r="D9" i="3"/>
  <c r="D8" i="3"/>
  <c r="D7" i="3"/>
  <c r="C11" i="3"/>
  <c r="C10" i="3"/>
  <c r="C9" i="3"/>
  <c r="C8" i="3"/>
  <c r="C7" i="3"/>
  <c r="D39" i="2" l="1"/>
  <c r="D35" i="3" l="1"/>
  <c r="D33" i="3"/>
  <c r="B18" i="3"/>
  <c r="F18" i="3" s="1"/>
  <c r="B17" i="3"/>
  <c r="F17" i="3" s="1"/>
  <c r="B16" i="3"/>
  <c r="F16" i="3" s="1"/>
  <c r="B15" i="3"/>
  <c r="F15" i="3" s="1"/>
  <c r="B14" i="3"/>
  <c r="F14" i="3" s="1"/>
  <c r="B11" i="3"/>
  <c r="F11" i="3" s="1"/>
  <c r="B10" i="3"/>
  <c r="F10" i="3" s="1"/>
  <c r="B9" i="3"/>
  <c r="F9" i="3" s="1"/>
  <c r="B8" i="3"/>
  <c r="F8" i="3" s="1"/>
  <c r="B7" i="3"/>
  <c r="F7" i="3" l="1"/>
  <c r="D18" i="2"/>
  <c r="C18" i="2"/>
  <c r="B18" i="2"/>
  <c r="F18" i="2" s="1"/>
  <c r="D17" i="2"/>
  <c r="C17" i="2"/>
  <c r="B17" i="2" s="1"/>
  <c r="F17" i="2" s="1"/>
  <c r="D16" i="2"/>
  <c r="B16" i="2" s="1"/>
  <c r="F16" i="2" s="1"/>
  <c r="C16" i="2"/>
  <c r="D15" i="2"/>
  <c r="B15" i="2"/>
  <c r="F15" i="2" s="1"/>
  <c r="C14" i="2"/>
  <c r="B14" i="2"/>
  <c r="D11" i="2"/>
  <c r="B11" i="2" s="1"/>
  <c r="F11" i="2" s="1"/>
  <c r="C11" i="2"/>
  <c r="D10" i="2"/>
  <c r="B10" i="2"/>
  <c r="F10" i="2" s="1"/>
  <c r="D9" i="2"/>
  <c r="B9" i="2" s="1"/>
  <c r="F9" i="2" s="1"/>
  <c r="C9" i="2"/>
  <c r="D8" i="2"/>
  <c r="B8" i="2" s="1"/>
  <c r="F8" i="2" s="1"/>
  <c r="C8" i="2"/>
  <c r="D7" i="2"/>
  <c r="C7" i="2"/>
  <c r="B7" i="2"/>
  <c r="F7" i="2" s="1"/>
  <c r="D18" i="1" l="1"/>
  <c r="D17" i="1"/>
  <c r="C17" i="1"/>
  <c r="D16" i="1"/>
  <c r="C16" i="1"/>
  <c r="D15" i="1"/>
  <c r="C15" i="1"/>
  <c r="D14" i="1"/>
  <c r="C14" i="1"/>
  <c r="D11" i="1"/>
  <c r="C11" i="1"/>
  <c r="D10" i="1"/>
  <c r="C10" i="1"/>
  <c r="D9" i="1"/>
  <c r="C9" i="1"/>
  <c r="D8" i="1"/>
  <c r="C8" i="1"/>
  <c r="D7" i="1"/>
  <c r="C7" i="1"/>
  <c r="B17" i="1" l="1"/>
  <c r="F17" i="1" s="1"/>
  <c r="B16" i="1"/>
  <c r="F16" i="1" s="1"/>
  <c r="B11" i="1"/>
  <c r="F11" i="1" s="1"/>
  <c r="B9" i="1"/>
  <c r="F9" i="1" s="1"/>
  <c r="B7" i="1"/>
  <c r="F7" i="1" s="1"/>
  <c r="B15" i="1" l="1"/>
  <c r="F15" i="1" s="1"/>
  <c r="B10" i="1"/>
  <c r="F10" i="1" s="1"/>
  <c r="B8" i="1"/>
  <c r="F8" i="1" s="1"/>
  <c r="B18" i="1"/>
  <c r="F18" i="1" s="1"/>
  <c r="B14" i="1"/>
  <c r="F14" i="1" s="1"/>
</calcChain>
</file>

<file path=xl/sharedStrings.xml><?xml version="1.0" encoding="utf-8"?>
<sst xmlns="http://schemas.openxmlformats.org/spreadsheetml/2006/main" count="124" uniqueCount="40">
  <si>
    <t>NN = Stufe 2</t>
  </si>
  <si>
    <t>E 13</t>
  </si>
  <si>
    <t>E 10</t>
  </si>
  <si>
    <t>Hinweise:</t>
  </si>
  <si>
    <t>- NN-Stellen dürfen maximal mit Stufe 2 kalkuliert werden</t>
  </si>
  <si>
    <t>- fiktive Tarifsteigerungen dürfen nicht geplant werden</t>
  </si>
  <si>
    <t>gesamt</t>
  </si>
  <si>
    <t>davon anteilige JSZ*</t>
  </si>
  <si>
    <t>* Jahressonderzahlung</t>
  </si>
  <si>
    <t>Stufe 2</t>
  </si>
  <si>
    <t>Stufe 1</t>
  </si>
  <si>
    <t>Stufe 3</t>
  </si>
  <si>
    <t>Stufe 4</t>
  </si>
  <si>
    <t>Stufe 5</t>
  </si>
  <si>
    <t>100% Stellenumfang</t>
  </si>
  <si>
    <t>davon Monatsbrutto</t>
  </si>
  <si>
    <t>- Sollten die Ausgaben für weitere Gruppen/Stufen benötigt werden, bitte an die CRT wenden.</t>
  </si>
  <si>
    <t>Personalausgaben Arbeitgeber-Brutto für AZA/AZAP</t>
  </si>
  <si>
    <t>- Diese Sätze können auch für die Einreichung von Skizzen verwendet werden, dann gerne gerundet.</t>
  </si>
  <si>
    <t>= monatl. Zuschläge in easyonline</t>
  </si>
  <si>
    <t>Stunde brutto</t>
  </si>
  <si>
    <t>Stunde brutto mit AG-Anteil</t>
  </si>
  <si>
    <t>brutto mit AG-Anteil bei 40Std/Monat</t>
  </si>
  <si>
    <t xml:space="preserve">Kalkulationsgrundlage HiWi </t>
  </si>
  <si>
    <t>mit Bachelorabschluss</t>
  </si>
  <si>
    <t>ohne Abschluss</t>
  </si>
  <si>
    <t>inkl. AG-Anteil SV:</t>
  </si>
  <si>
    <t>Ab November 2024</t>
  </si>
  <si>
    <t>gemäß TVL-Tabelle 2024 (Prognose), AK 13.12.23</t>
  </si>
  <si>
    <t>noch 46,47%</t>
  </si>
  <si>
    <t>PROGNOSE</t>
  </si>
  <si>
    <t>Ab Febr. 25</t>
  </si>
  <si>
    <t>noch 74,35%</t>
  </si>
  <si>
    <t>Ab Dezember 22</t>
  </si>
  <si>
    <t>inkl. 120€/Monat Inflationsausgleichszahlung steuerfrei</t>
  </si>
  <si>
    <t>Jahreswerte gerundet</t>
  </si>
  <si>
    <t>E 9a</t>
  </si>
  <si>
    <t>ab April 2024</t>
  </si>
  <si>
    <t>ab SS 2025</t>
  </si>
  <si>
    <t>update höhere Tutorvergütung, AK 22.04.24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</si>
</sst>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00"/>
    <numFmt numFmtId="165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 Unicode MS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666699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164" fontId="0" fillId="0" borderId="0" xfId="0" applyNumberFormat="1"/>
    <xf numFmtId="0" fontId="0" fillId="0" borderId="0" xfId="0" quotePrefix="1"/>
    <xf numFmtId="0" fontId="1" fillId="0" borderId="0" xfId="0" applyFont="1"/>
    <xf numFmtId="43" fontId="0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/>
    <xf numFmtId="0" fontId="1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3" fontId="0" fillId="3" borderId="1" xfId="1" applyFont="1" applyFill="1" applyBorder="1"/>
    <xf numFmtId="43" fontId="0" fillId="0" borderId="0" xfId="0" applyNumberFormat="1"/>
    <xf numFmtId="0" fontId="0" fillId="4" borderId="1" xfId="0" applyFill="1" applyBorder="1"/>
    <xf numFmtId="0" fontId="0" fillId="2" borderId="1" xfId="0" applyFill="1" applyBorder="1"/>
    <xf numFmtId="4" fontId="0" fillId="2" borderId="1" xfId="0" applyNumberFormat="1" applyFill="1" applyBorder="1"/>
    <xf numFmtId="4" fontId="0" fillId="5" borderId="1" xfId="0" applyNumberFormat="1" applyFill="1" applyBorder="1"/>
    <xf numFmtId="2" fontId="0" fillId="4" borderId="1" xfId="0" applyNumberFormat="1" applyFill="1" applyBorder="1"/>
    <xf numFmtId="9" fontId="0" fillId="0" borderId="1" xfId="0" applyNumberFormat="1" applyBorder="1"/>
    <xf numFmtId="4" fontId="0" fillId="0" borderId="1" xfId="0" applyNumberFormat="1" applyBorder="1"/>
    <xf numFmtId="0" fontId="3" fillId="0" borderId="0" xfId="0" applyFont="1"/>
    <xf numFmtId="0" fontId="0" fillId="6" borderId="1" xfId="0" applyFill="1" applyBorder="1"/>
    <xf numFmtId="43" fontId="4" fillId="0" borderId="1" xfId="1" applyFont="1" applyFill="1" applyBorder="1"/>
    <xf numFmtId="43" fontId="4" fillId="2" borderId="1" xfId="1" applyFont="1" applyFill="1" applyBorder="1"/>
    <xf numFmtId="10" fontId="4" fillId="0" borderId="1" xfId="0" applyNumberFormat="1" applyFont="1" applyBorder="1"/>
    <xf numFmtId="0" fontId="0" fillId="6" borderId="0" xfId="0" applyFill="1"/>
    <xf numFmtId="0" fontId="5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quotePrefix="1" applyFont="1"/>
    <xf numFmtId="0" fontId="6" fillId="0" borderId="0" xfId="0" applyFont="1"/>
    <xf numFmtId="165" fontId="0" fillId="0" borderId="1" xfId="0" applyNumberFormat="1" applyBorder="1"/>
    <xf numFmtId="165" fontId="0" fillId="2" borderId="1" xfId="0" applyNumberFormat="1" applyFill="1" applyBorder="1"/>
    <xf numFmtId="0" fontId="0" fillId="7" borderId="0" xfId="0" applyFill="1"/>
    <xf numFmtId="43" fontId="4" fillId="0" borderId="0" xfId="1" applyFont="1" applyFill="1" applyBorder="1"/>
    <xf numFmtId="0" fontId="1" fillId="0" borderId="0" xfId="0" applyFont="1" applyAlignment="1">
      <alignment horizontal="center"/>
    </xf>
    <xf numFmtId="9" fontId="0" fillId="0" borderId="0" xfId="0" applyNumberFormat="1"/>
    <xf numFmtId="10" fontId="4" fillId="0" borderId="0" xfId="0" applyNumberFormat="1" applyFont="1"/>
    <xf numFmtId="2" fontId="0" fillId="0" borderId="0" xfId="0" applyNumberFormat="1"/>
    <xf numFmtId="0" fontId="7" fillId="0" borderId="0" xfId="0" applyFont="1" applyAlignment="1">
      <alignment vertical="center"/>
    </xf>
    <xf numFmtId="2" fontId="0" fillId="2" borderId="1" xfId="0" applyNumberFormat="1" applyFill="1" applyBorder="1"/>
    <xf numFmtId="0" fontId="8" fillId="0" borderId="0" xfId="0" quotePrefix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921D-2EE6-4AB4-BA9E-94CA65565E48}">
  <dimension ref="A1:G37"/>
  <sheetViews>
    <sheetView tabSelected="1" workbookViewId="0">
      <selection activeCell="B33" sqref="B33"/>
    </sheetView>
  </sheetViews>
  <sheetFormatPr baseColWidth="10" defaultRowHeight="14.5"/>
  <cols>
    <col min="1" max="1" width="24.36328125" customWidth="1"/>
    <col min="2" max="2" width="17.90625" customWidth="1"/>
    <col min="3" max="3" width="21.36328125" customWidth="1"/>
    <col min="4" max="4" width="20.453125" customWidth="1"/>
    <col min="6" max="6" width="19.54296875" customWidth="1"/>
  </cols>
  <sheetData>
    <row r="1" spans="1:7" ht="30" customHeight="1">
      <c r="A1" s="45" t="s">
        <v>17</v>
      </c>
      <c r="B1" s="46"/>
      <c r="C1" s="46"/>
      <c r="D1" s="47"/>
    </row>
    <row r="2" spans="1:7">
      <c r="A2" s="1" t="s">
        <v>14</v>
      </c>
      <c r="B2" s="4" t="s">
        <v>33</v>
      </c>
      <c r="C2" s="2"/>
      <c r="D2" s="24" t="s">
        <v>34</v>
      </c>
      <c r="E2" s="28"/>
    </row>
    <row r="3" spans="1:7">
      <c r="A3" s="1"/>
      <c r="B3" s="4"/>
      <c r="C3" s="2" t="s">
        <v>26</v>
      </c>
      <c r="D3" s="21">
        <v>1.29</v>
      </c>
    </row>
    <row r="4" spans="1:7">
      <c r="A4" s="4" t="s">
        <v>0</v>
      </c>
      <c r="B4" s="4" t="s">
        <v>6</v>
      </c>
      <c r="C4" s="3" t="s">
        <v>15</v>
      </c>
      <c r="D4" s="3" t="s">
        <v>7</v>
      </c>
      <c r="F4" s="36" t="s">
        <v>35</v>
      </c>
    </row>
    <row r="5" spans="1:7">
      <c r="A5" s="1"/>
      <c r="B5" s="1"/>
      <c r="C5" s="1"/>
      <c r="D5" s="1"/>
    </row>
    <row r="6" spans="1:7">
      <c r="A6" s="11" t="s">
        <v>1</v>
      </c>
      <c r="B6" s="1"/>
      <c r="C6" s="1"/>
      <c r="D6" s="1"/>
    </row>
    <row r="7" spans="1:7">
      <c r="A7" s="2" t="s">
        <v>10</v>
      </c>
      <c r="B7" s="9">
        <f>C7+D7</f>
        <v>5732.241750000001</v>
      </c>
      <c r="C7" s="9">
        <f>4188.38*D3</f>
        <v>5403.0102000000006</v>
      </c>
      <c r="D7" s="25">
        <f>1946.34/12*D3+120</f>
        <v>329.23154999999997</v>
      </c>
      <c r="F7" s="34">
        <f>ROUND(B7*12,0)</f>
        <v>68787</v>
      </c>
    </row>
    <row r="8" spans="1:7">
      <c r="A8" s="4" t="s">
        <v>9</v>
      </c>
      <c r="B8" s="14">
        <f t="shared" ref="B8:B17" si="0">C8+D8</f>
        <v>6160.6120499999997</v>
      </c>
      <c r="C8" s="8">
        <f>4508.07*D3</f>
        <v>5815.4102999999996</v>
      </c>
      <c r="D8" s="26">
        <f>2094.9/12*D3+120</f>
        <v>345.20175000000006</v>
      </c>
      <c r="E8" s="15"/>
      <c r="F8" s="35">
        <f t="shared" ref="F8:F11" si="1">ROUND(B8*12,0)</f>
        <v>73927</v>
      </c>
      <c r="G8" s="15"/>
    </row>
    <row r="9" spans="1:7">
      <c r="A9" s="2" t="s">
        <v>11</v>
      </c>
      <c r="B9" s="9">
        <f t="shared" si="0"/>
        <v>6482.831475</v>
      </c>
      <c r="C9" s="10">
        <f>4748.54*D3</f>
        <v>6125.6166000000003</v>
      </c>
      <c r="D9" s="25">
        <f>2206.65/12*D3+120</f>
        <v>357.21487500000001</v>
      </c>
      <c r="F9" s="34">
        <f t="shared" si="1"/>
        <v>77794</v>
      </c>
      <c r="G9" s="15"/>
    </row>
    <row r="10" spans="1:7">
      <c r="A10" s="2" t="s">
        <v>12</v>
      </c>
      <c r="B10" s="9">
        <f t="shared" si="0"/>
        <v>7108.8319250000013</v>
      </c>
      <c r="C10" s="10">
        <f>5215.72*D3</f>
        <v>6728.278800000001</v>
      </c>
      <c r="D10" s="25">
        <f>2423.75/12*D3+120</f>
        <v>380.55312500000002</v>
      </c>
      <c r="F10" s="34">
        <f t="shared" si="1"/>
        <v>85306</v>
      </c>
      <c r="G10" s="15"/>
    </row>
    <row r="11" spans="1:7">
      <c r="A11" s="2" t="s">
        <v>13</v>
      </c>
      <c r="B11" s="9">
        <f>C11+D11</f>
        <v>7974.1875749999999</v>
      </c>
      <c r="C11" s="10">
        <f>5861.53*D3</f>
        <v>7561.3737000000001</v>
      </c>
      <c r="D11" s="25">
        <f>2723.85/12*D3+120</f>
        <v>412.813875</v>
      </c>
      <c r="F11" s="34">
        <f t="shared" si="1"/>
        <v>95690</v>
      </c>
    </row>
    <row r="12" spans="1:7">
      <c r="A12" s="1"/>
      <c r="B12" s="9"/>
      <c r="C12" s="9"/>
      <c r="D12" s="25"/>
    </row>
    <row r="13" spans="1:7">
      <c r="A13" s="11" t="s">
        <v>2</v>
      </c>
      <c r="B13" s="9"/>
      <c r="C13" s="1"/>
      <c r="D13" s="29"/>
    </row>
    <row r="14" spans="1:7">
      <c r="A14" s="2" t="s">
        <v>10</v>
      </c>
      <c r="B14" s="9">
        <f t="shared" si="0"/>
        <v>4947.0993749999998</v>
      </c>
      <c r="C14" s="9">
        <f>3523.62*D3</f>
        <v>4545.4697999999999</v>
      </c>
      <c r="D14" s="25">
        <f>2619.81/12*D3+120</f>
        <v>401.62957499999999</v>
      </c>
      <c r="F14" s="34">
        <f>ROUND(B14*12,0)</f>
        <v>59365</v>
      </c>
    </row>
    <row r="15" spans="1:7">
      <c r="A15" s="4" t="s">
        <v>9</v>
      </c>
      <c r="B15" s="14">
        <f t="shared" si="0"/>
        <v>5277.4576250000009</v>
      </c>
      <c r="C15" s="8">
        <f>3764.77*D3</f>
        <v>4856.5533000000005</v>
      </c>
      <c r="D15" s="26">
        <f>2799.11/12*D3+120</f>
        <v>420.90432500000003</v>
      </c>
      <c r="E15" s="15"/>
      <c r="F15" s="35">
        <f t="shared" ref="F15:F18" si="2">ROUND(B15*12,0)</f>
        <v>63329</v>
      </c>
    </row>
    <row r="16" spans="1:7">
      <c r="A16" s="2" t="s">
        <v>11</v>
      </c>
      <c r="B16" s="9">
        <f t="shared" si="0"/>
        <v>5655.7071249999999</v>
      </c>
      <c r="C16" s="10">
        <f>4040.88*$D$3</f>
        <v>5212.7352000000001</v>
      </c>
      <c r="D16" s="25">
        <f>3004.39/12*D3+120</f>
        <v>442.971925</v>
      </c>
      <c r="E16" s="15"/>
      <c r="F16" s="34">
        <f t="shared" si="2"/>
        <v>67868</v>
      </c>
    </row>
    <row r="17" spans="1:6">
      <c r="A17" s="2" t="s">
        <v>12</v>
      </c>
      <c r="B17" s="9">
        <f t="shared" si="0"/>
        <v>6041.5751499999997</v>
      </c>
      <c r="C17" s="10">
        <f>4322.55*$D$3</f>
        <v>5576.0895</v>
      </c>
      <c r="D17" s="25">
        <f>3213.82/12*D3+120</f>
        <v>465.48565000000002</v>
      </c>
      <c r="F17" s="34">
        <f t="shared" si="2"/>
        <v>72499</v>
      </c>
    </row>
    <row r="18" spans="1:6">
      <c r="A18" s="2" t="s">
        <v>13</v>
      </c>
      <c r="B18" s="9">
        <f>C18+D18</f>
        <v>6775.7592999999997</v>
      </c>
      <c r="C18" s="10">
        <f>4858.48*$D$3</f>
        <v>6267.4391999999998</v>
      </c>
      <c r="D18" s="25">
        <f>3612.28/12*D3+120</f>
        <v>508.32010000000008</v>
      </c>
      <c r="F18" s="34">
        <f t="shared" si="2"/>
        <v>81309</v>
      </c>
    </row>
    <row r="19" spans="1:6">
      <c r="A19" s="2"/>
      <c r="B19" s="2"/>
      <c r="C19" s="2"/>
      <c r="D19" s="2"/>
    </row>
    <row r="20" spans="1:6">
      <c r="A20" s="2"/>
      <c r="B20" s="2"/>
      <c r="C20" s="2"/>
      <c r="D20" s="2"/>
    </row>
    <row r="21" spans="1:6">
      <c r="D21" t="s">
        <v>8</v>
      </c>
    </row>
    <row r="22" spans="1:6">
      <c r="A22" s="23" t="s">
        <v>28</v>
      </c>
      <c r="D22" s="6" t="s">
        <v>19</v>
      </c>
    </row>
    <row r="23" spans="1:6">
      <c r="A23" s="23"/>
      <c r="D23" s="6"/>
    </row>
    <row r="24" spans="1:6">
      <c r="A24" s="7" t="s">
        <v>3</v>
      </c>
      <c r="C24" s="5"/>
      <c r="D24" s="5"/>
      <c r="E24" s="5"/>
    </row>
    <row r="25" spans="1:6" s="33" customFormat="1" ht="13">
      <c r="A25" s="44" t="s">
        <v>4</v>
      </c>
    </row>
    <row r="26" spans="1:6" s="33" customFormat="1" ht="13">
      <c r="A26" s="44" t="s">
        <v>5</v>
      </c>
    </row>
    <row r="27" spans="1:6" s="33" customFormat="1" ht="13">
      <c r="A27" s="44" t="s">
        <v>18</v>
      </c>
    </row>
    <row r="28" spans="1:6" s="33" customFormat="1" ht="13">
      <c r="A28" s="44" t="s">
        <v>16</v>
      </c>
    </row>
    <row r="29" spans="1:6" s="33" customFormat="1" ht="10.5">
      <c r="A29" s="32"/>
    </row>
    <row r="30" spans="1:6">
      <c r="A30" s="45" t="s">
        <v>23</v>
      </c>
      <c r="B30" s="46"/>
      <c r="C30" s="46"/>
      <c r="D30" s="47"/>
    </row>
    <row r="31" spans="1:6" ht="29">
      <c r="B31" s="12" t="s">
        <v>20</v>
      </c>
      <c r="C31" s="12" t="s">
        <v>21</v>
      </c>
      <c r="D31" s="13" t="s">
        <v>22</v>
      </c>
    </row>
    <row r="32" spans="1:6">
      <c r="A32" s="3" t="s">
        <v>24</v>
      </c>
      <c r="B32" s="30"/>
      <c r="C32" s="30"/>
      <c r="D32" s="31"/>
    </row>
    <row r="33" spans="1:4">
      <c r="A33" s="17" t="s">
        <v>37</v>
      </c>
      <c r="B33" s="18">
        <v>14.09</v>
      </c>
      <c r="C33" s="19">
        <f>B33*D3</f>
        <v>18.176100000000002</v>
      </c>
      <c r="D33" s="43">
        <f>C33*40</f>
        <v>727.0440000000001</v>
      </c>
    </row>
    <row r="34" spans="1:4">
      <c r="A34" s="11" t="s">
        <v>25</v>
      </c>
      <c r="B34" s="22"/>
      <c r="C34" s="22"/>
      <c r="D34" s="2"/>
    </row>
    <row r="35" spans="1:4">
      <c r="A35" s="16" t="s">
        <v>37</v>
      </c>
      <c r="B35" s="20">
        <v>13.25</v>
      </c>
      <c r="C35" s="20">
        <f>B35*$D$3</f>
        <v>17.092500000000001</v>
      </c>
      <c r="D35" s="20">
        <f>C35*40</f>
        <v>683.7</v>
      </c>
    </row>
    <row r="37" spans="1:4">
      <c r="A37" t="s">
        <v>39</v>
      </c>
    </row>
  </sheetData>
  <mergeCells count="2">
    <mergeCell ref="A1:D1"/>
    <mergeCell ref="A30:D3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zoomScaleNormal="100" workbookViewId="0">
      <selection activeCell="A25" sqref="A25:A28"/>
    </sheetView>
  </sheetViews>
  <sheetFormatPr baseColWidth="10" defaultRowHeight="14.5"/>
  <cols>
    <col min="1" max="1" width="24.08984375" customWidth="1"/>
    <col min="2" max="2" width="17.90625" customWidth="1"/>
    <col min="3" max="3" width="21.08984375" customWidth="1"/>
    <col min="4" max="4" width="20.54296875" customWidth="1"/>
    <col min="5" max="5" width="6.90625" customWidth="1"/>
    <col min="6" max="6" width="16.90625" customWidth="1"/>
  </cols>
  <sheetData>
    <row r="1" spans="1:7" ht="20.25" customHeight="1">
      <c r="A1" s="45" t="s">
        <v>17</v>
      </c>
      <c r="B1" s="46"/>
      <c r="C1" s="46"/>
      <c r="D1" s="47"/>
      <c r="E1" s="38"/>
    </row>
    <row r="2" spans="1:7">
      <c r="A2" s="1"/>
      <c r="B2" s="24" t="s">
        <v>30</v>
      </c>
      <c r="C2" s="2"/>
      <c r="D2" s="2"/>
    </row>
    <row r="3" spans="1:7">
      <c r="A3" s="1" t="s">
        <v>14</v>
      </c>
      <c r="B3" s="4" t="s">
        <v>27</v>
      </c>
      <c r="C3" s="2" t="s">
        <v>26</v>
      </c>
      <c r="D3" s="21">
        <v>1.29</v>
      </c>
      <c r="E3" s="39"/>
    </row>
    <row r="4" spans="1:7">
      <c r="A4" s="4" t="s">
        <v>0</v>
      </c>
      <c r="B4" s="4" t="s">
        <v>6</v>
      </c>
      <c r="C4" s="3" t="s">
        <v>15</v>
      </c>
      <c r="D4" s="3" t="s">
        <v>7</v>
      </c>
      <c r="E4" s="7"/>
      <c r="F4" s="36" t="s">
        <v>35</v>
      </c>
    </row>
    <row r="5" spans="1:7">
      <c r="A5" s="1"/>
      <c r="B5" s="1"/>
      <c r="C5" s="1"/>
      <c r="D5" s="1"/>
      <c r="E5" s="7"/>
    </row>
    <row r="6" spans="1:7">
      <c r="A6" s="11" t="s">
        <v>1</v>
      </c>
      <c r="B6" s="1"/>
      <c r="C6" s="1"/>
      <c r="D6" s="27" t="s">
        <v>29</v>
      </c>
      <c r="E6" s="40"/>
    </row>
    <row r="7" spans="1:7">
      <c r="A7" s="2" t="s">
        <v>10</v>
      </c>
      <c r="B7" s="9">
        <f>C7+D7</f>
        <v>5880.2328000000007</v>
      </c>
      <c r="C7" s="9">
        <f>4388.38*D3</f>
        <v>5661.0102000000006</v>
      </c>
      <c r="D7" s="25">
        <f>2039.28/12*D3</f>
        <v>219.2226</v>
      </c>
      <c r="E7" s="25"/>
      <c r="F7" s="34">
        <f>ROUND(B7*12,0)</f>
        <v>70563</v>
      </c>
    </row>
    <row r="8" spans="1:7">
      <c r="A8" s="4" t="s">
        <v>9</v>
      </c>
      <c r="B8" s="14">
        <f t="shared" ref="B8:B17" si="0">C8+D8</f>
        <v>6308.6030999999994</v>
      </c>
      <c r="C8" s="8">
        <f>4708.07*D3</f>
        <v>6073.4102999999996</v>
      </c>
      <c r="D8" s="26">
        <f>2187.84/12*D3</f>
        <v>235.19280000000003</v>
      </c>
      <c r="E8" s="25"/>
      <c r="F8" s="34">
        <f t="shared" ref="F8:F11" si="1">ROUND(B8*12,0)</f>
        <v>75703</v>
      </c>
      <c r="G8" s="15"/>
    </row>
    <row r="9" spans="1:7">
      <c r="A9" s="2" t="s">
        <v>11</v>
      </c>
      <c r="B9" s="9">
        <f t="shared" si="0"/>
        <v>6630.8225250000005</v>
      </c>
      <c r="C9" s="10">
        <f>4948.54*D3</f>
        <v>6383.6166000000003</v>
      </c>
      <c r="D9" s="25">
        <f>2299.59/12*D3</f>
        <v>247.20592500000004</v>
      </c>
      <c r="E9" s="25"/>
      <c r="F9" s="34">
        <f t="shared" si="1"/>
        <v>79570</v>
      </c>
      <c r="G9" s="15"/>
    </row>
    <row r="10" spans="1:7">
      <c r="A10" s="2" t="s">
        <v>12</v>
      </c>
      <c r="B10" s="9">
        <f t="shared" si="0"/>
        <v>7256.822975000001</v>
      </c>
      <c r="C10" s="10">
        <f>5415.72*D3</f>
        <v>6986.278800000001</v>
      </c>
      <c r="D10" s="25">
        <f>2516.69/12*D3</f>
        <v>270.544175</v>
      </c>
      <c r="E10" s="25"/>
      <c r="F10" s="34">
        <f t="shared" si="1"/>
        <v>87082</v>
      </c>
    </row>
    <row r="11" spans="1:7">
      <c r="A11" s="2" t="s">
        <v>13</v>
      </c>
      <c r="B11" s="9">
        <f>C11+D11</f>
        <v>8122.1786250000005</v>
      </c>
      <c r="C11" s="10">
        <f>6061.53*D3</f>
        <v>7819.3737000000001</v>
      </c>
      <c r="D11" s="25">
        <f>2816.79/12*D3</f>
        <v>302.80492499999997</v>
      </c>
      <c r="E11" s="25"/>
      <c r="F11" s="34">
        <f t="shared" si="1"/>
        <v>97466</v>
      </c>
    </row>
    <row r="12" spans="1:7">
      <c r="A12" s="1"/>
      <c r="B12" s="9"/>
      <c r="C12" s="9"/>
      <c r="D12" s="25"/>
      <c r="E12" s="37"/>
    </row>
    <row r="13" spans="1:7">
      <c r="A13" s="11" t="s">
        <v>2</v>
      </c>
      <c r="B13" s="9"/>
      <c r="C13" s="1"/>
      <c r="D13" s="27" t="s">
        <v>32</v>
      </c>
      <c r="E13" s="40"/>
    </row>
    <row r="14" spans="1:7">
      <c r="A14" s="2" t="s">
        <v>10</v>
      </c>
      <c r="B14" s="9">
        <f t="shared" si="0"/>
        <v>5101.0846249999995</v>
      </c>
      <c r="C14" s="9">
        <f>3723.62*D3</f>
        <v>4803.4697999999999</v>
      </c>
      <c r="D14" s="25">
        <f>2768.51/12*D3</f>
        <v>297.614825</v>
      </c>
      <c r="E14" s="25"/>
      <c r="F14" s="34">
        <f>ROUND(B14*12,0)</f>
        <v>61213</v>
      </c>
    </row>
    <row r="15" spans="1:7">
      <c r="A15" s="4" t="s">
        <v>9</v>
      </c>
      <c r="B15" s="14">
        <f t="shared" si="0"/>
        <v>5431.4428750000006</v>
      </c>
      <c r="C15" s="8">
        <f>3964.77*D3</f>
        <v>5114.5533000000005</v>
      </c>
      <c r="D15" s="26">
        <f>2947.81/12*D3</f>
        <v>316.88957500000004</v>
      </c>
      <c r="E15" s="25"/>
      <c r="F15" s="34">
        <f t="shared" ref="F15:F18" si="2">ROUND(B15*12,0)</f>
        <v>65177</v>
      </c>
    </row>
    <row r="16" spans="1:7">
      <c r="A16" s="2" t="s">
        <v>11</v>
      </c>
      <c r="B16" s="9">
        <f t="shared" si="0"/>
        <v>5809.6923750000005</v>
      </c>
      <c r="C16" s="10">
        <f>4240.88*D3</f>
        <v>5470.7352000000001</v>
      </c>
      <c r="D16" s="25">
        <f>3153.09/12*D3</f>
        <v>338.95717500000001</v>
      </c>
      <c r="E16" s="25"/>
      <c r="F16" s="34">
        <f t="shared" si="2"/>
        <v>69716</v>
      </c>
      <c r="G16" s="15"/>
    </row>
    <row r="17" spans="1:6">
      <c r="A17" s="2" t="s">
        <v>12</v>
      </c>
      <c r="B17" s="9">
        <f t="shared" si="0"/>
        <v>6195.5604000000003</v>
      </c>
      <c r="C17" s="10">
        <f>4522.55*D3</f>
        <v>5834.0895</v>
      </c>
      <c r="D17" s="25">
        <f>3362.52/12*D3</f>
        <v>361.47089999999997</v>
      </c>
      <c r="E17" s="25"/>
      <c r="F17" s="34">
        <f t="shared" si="2"/>
        <v>74347</v>
      </c>
    </row>
    <row r="18" spans="1:6">
      <c r="A18" s="2" t="s">
        <v>13</v>
      </c>
      <c r="B18" s="9">
        <f>C18+D18</f>
        <v>6929.7445499999994</v>
      </c>
      <c r="C18" s="10">
        <f>5058.48*D3</f>
        <v>6525.4391999999998</v>
      </c>
      <c r="D18" s="25">
        <f>3760.98/12*D3</f>
        <v>404.30535000000003</v>
      </c>
      <c r="E18" s="25"/>
      <c r="F18" s="34">
        <f t="shared" si="2"/>
        <v>83157</v>
      </c>
    </row>
    <row r="19" spans="1:6">
      <c r="A19" s="2"/>
      <c r="B19" s="2"/>
      <c r="C19" s="2"/>
      <c r="D19" s="2"/>
    </row>
    <row r="20" spans="1:6">
      <c r="A20" s="2"/>
      <c r="B20" s="2"/>
      <c r="C20" s="2"/>
      <c r="D20" s="2"/>
    </row>
    <row r="21" spans="1:6">
      <c r="D21" t="s">
        <v>8</v>
      </c>
    </row>
    <row r="22" spans="1:6">
      <c r="A22" s="23" t="s">
        <v>28</v>
      </c>
      <c r="D22" s="6" t="s">
        <v>19</v>
      </c>
      <c r="E22" s="6"/>
    </row>
    <row r="23" spans="1:6">
      <c r="A23" s="23"/>
      <c r="D23" s="6"/>
      <c r="E23" s="6"/>
    </row>
    <row r="24" spans="1:6">
      <c r="A24" s="7" t="s">
        <v>3</v>
      </c>
      <c r="C24" s="5"/>
      <c r="D24" s="5"/>
      <c r="E24" s="5"/>
    </row>
    <row r="25" spans="1:6" s="33" customFormat="1" ht="13">
      <c r="A25" s="44" t="s">
        <v>4</v>
      </c>
    </row>
    <row r="26" spans="1:6" s="33" customFormat="1" ht="13">
      <c r="A26" s="44" t="s">
        <v>5</v>
      </c>
    </row>
    <row r="27" spans="1:6" s="33" customFormat="1" ht="13">
      <c r="A27" s="44" t="s">
        <v>18</v>
      </c>
    </row>
    <row r="28" spans="1:6" s="33" customFormat="1" ht="13">
      <c r="A28" s="44" t="s">
        <v>16</v>
      </c>
    </row>
    <row r="29" spans="1:6">
      <c r="A29" s="6"/>
    </row>
    <row r="30" spans="1:6" s="23" customFormat="1" ht="12"/>
    <row r="31" spans="1:6">
      <c r="A31" s="45" t="s">
        <v>23</v>
      </c>
      <c r="B31" s="46"/>
      <c r="C31" s="46"/>
      <c r="D31" s="47"/>
      <c r="E31" s="38"/>
    </row>
    <row r="32" spans="1:6" ht="29">
      <c r="B32" s="12" t="s">
        <v>20</v>
      </c>
      <c r="C32" s="12" t="s">
        <v>21</v>
      </c>
      <c r="D32" s="13" t="s">
        <v>22</v>
      </c>
      <c r="E32" s="13"/>
    </row>
    <row r="33" spans="1:5">
      <c r="A33" s="3" t="s">
        <v>24</v>
      </c>
      <c r="B33" s="30"/>
      <c r="C33" s="30"/>
      <c r="D33" s="31"/>
      <c r="E33" s="13"/>
    </row>
    <row r="34" spans="1:5">
      <c r="A34" s="17" t="s">
        <v>37</v>
      </c>
      <c r="B34" s="18">
        <v>14.09</v>
      </c>
      <c r="C34" s="19">
        <f>B34*D3</f>
        <v>18.176100000000002</v>
      </c>
      <c r="D34" s="43">
        <f>C34*40</f>
        <v>727.0440000000001</v>
      </c>
    </row>
    <row r="35" spans="1:5">
      <c r="A35" s="11" t="s">
        <v>25</v>
      </c>
      <c r="B35" s="22"/>
      <c r="C35" s="22"/>
      <c r="D35" s="2"/>
    </row>
    <row r="36" spans="1:5">
      <c r="A36" s="16" t="s">
        <v>37</v>
      </c>
      <c r="B36" s="20">
        <v>13.25</v>
      </c>
      <c r="C36" s="20">
        <f>B36*$D$3</f>
        <v>17.092500000000001</v>
      </c>
      <c r="D36" s="20">
        <f>C36*40</f>
        <v>683.7</v>
      </c>
      <c r="E36" s="41"/>
    </row>
    <row r="38" spans="1:5" s="23" customFormat="1">
      <c r="A38" t="s">
        <v>39</v>
      </c>
    </row>
  </sheetData>
  <mergeCells count="2">
    <mergeCell ref="A1:D1"/>
    <mergeCell ref="A31:D31"/>
  </mergeCells>
  <pageMargins left="0.7" right="0.7" top="0.78740157499999996" bottom="0.78740157499999996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1B57B-4541-4F55-8080-61B8D945B8AD}">
  <sheetPr>
    <pageSetUpPr fitToPage="1"/>
  </sheetPr>
  <dimension ref="A1:F43"/>
  <sheetViews>
    <sheetView zoomScale="85" zoomScaleNormal="85" workbookViewId="0">
      <selection activeCell="C47" sqref="C47"/>
    </sheetView>
  </sheetViews>
  <sheetFormatPr baseColWidth="10" defaultRowHeight="14.5"/>
  <cols>
    <col min="1" max="1" width="24.08984375" customWidth="1"/>
    <col min="2" max="2" width="17.90625" customWidth="1"/>
    <col min="3" max="3" width="21.08984375" customWidth="1"/>
    <col min="4" max="4" width="20.54296875" customWidth="1"/>
    <col min="5" max="5" width="16.90625" customWidth="1"/>
    <col min="6" max="6" width="11.54296875" bestFit="1" customWidth="1"/>
  </cols>
  <sheetData>
    <row r="1" spans="1:6" ht="20.25" customHeight="1">
      <c r="A1" s="45" t="s">
        <v>17</v>
      </c>
      <c r="B1" s="46"/>
      <c r="C1" s="46"/>
      <c r="D1" s="47"/>
    </row>
    <row r="2" spans="1:6">
      <c r="A2" s="1"/>
      <c r="B2" s="24" t="s">
        <v>30</v>
      </c>
      <c r="C2" s="2"/>
      <c r="D2" s="2"/>
    </row>
    <row r="3" spans="1:6">
      <c r="A3" s="1" t="s">
        <v>14</v>
      </c>
      <c r="B3" s="4" t="s">
        <v>31</v>
      </c>
      <c r="C3" s="2" t="s">
        <v>26</v>
      </c>
      <c r="D3" s="21">
        <v>1.29</v>
      </c>
    </row>
    <row r="4" spans="1:6">
      <c r="A4" s="4" t="s">
        <v>0</v>
      </c>
      <c r="B4" s="4" t="s">
        <v>6</v>
      </c>
      <c r="C4" s="3" t="s">
        <v>15</v>
      </c>
      <c r="D4" s="3" t="s">
        <v>7</v>
      </c>
      <c r="F4" s="36" t="s">
        <v>35</v>
      </c>
    </row>
    <row r="5" spans="1:6">
      <c r="A5" s="1"/>
      <c r="B5" s="1"/>
      <c r="C5" s="1"/>
      <c r="D5" s="1"/>
    </row>
    <row r="6" spans="1:6">
      <c r="A6" s="11" t="s">
        <v>1</v>
      </c>
      <c r="B6" s="1"/>
      <c r="C6" s="1"/>
      <c r="D6" s="27" t="s">
        <v>29</v>
      </c>
    </row>
    <row r="7" spans="1:6">
      <c r="A7" s="2" t="s">
        <v>10</v>
      </c>
      <c r="B7" s="9">
        <f>C7+D7</f>
        <v>6203.6444000000001</v>
      </c>
      <c r="C7" s="9">
        <f>4629.74*D3</f>
        <v>5972.3645999999999</v>
      </c>
      <c r="D7" s="25">
        <f>2151.44/12*D3</f>
        <v>231.27979999999999</v>
      </c>
      <c r="F7" s="34">
        <f>ROUND(B7*12,0)</f>
        <v>74444</v>
      </c>
    </row>
    <row r="8" spans="1:6">
      <c r="A8" s="4" t="s">
        <v>9</v>
      </c>
      <c r="B8" s="14">
        <f t="shared" ref="B8:B17" si="0">C8+D8</f>
        <v>6655.571175</v>
      </c>
      <c r="C8" s="8">
        <f>4967.01*D3</f>
        <v>6407.4429</v>
      </c>
      <c r="D8" s="26">
        <f>2308.17/12*D3</f>
        <v>248.128275</v>
      </c>
      <c r="E8" s="15"/>
      <c r="F8" s="34">
        <f t="shared" ref="F8:F11" si="1">ROUND(B8*12,0)</f>
        <v>79867</v>
      </c>
    </row>
    <row r="9" spans="1:6">
      <c r="A9" s="2" t="s">
        <v>11</v>
      </c>
      <c r="B9" s="9">
        <f t="shared" si="0"/>
        <v>6995.5173500000001</v>
      </c>
      <c r="C9" s="10">
        <f>5220.71*D3</f>
        <v>6734.7159000000001</v>
      </c>
      <c r="D9" s="25">
        <f>2426.06/12*D3</f>
        <v>260.80144999999999</v>
      </c>
      <c r="F9" s="34">
        <f t="shared" si="1"/>
        <v>83946</v>
      </c>
    </row>
    <row r="10" spans="1:6">
      <c r="A10" s="2" t="s">
        <v>12</v>
      </c>
      <c r="B10" s="9">
        <f t="shared" si="0"/>
        <v>7655.9414500000003</v>
      </c>
      <c r="C10" s="10">
        <f>5713.58*D3</f>
        <v>7370.5182000000004</v>
      </c>
      <c r="D10" s="25">
        <f>2655.1/12*D3</f>
        <v>285.42325</v>
      </c>
      <c r="E10" s="15"/>
      <c r="F10" s="34">
        <f t="shared" si="1"/>
        <v>91871</v>
      </c>
    </row>
    <row r="11" spans="1:6">
      <c r="A11" s="2" t="s">
        <v>13</v>
      </c>
      <c r="B11" s="9">
        <f>C11+D11</f>
        <v>8568.8927249999997</v>
      </c>
      <c r="C11" s="10">
        <f>6394.91*D3</f>
        <v>8249.4339</v>
      </c>
      <c r="D11" s="25">
        <f>2971.71/12*D3</f>
        <v>319.45882500000005</v>
      </c>
      <c r="F11" s="34">
        <f t="shared" si="1"/>
        <v>102827</v>
      </c>
    </row>
    <row r="12" spans="1:6">
      <c r="A12" s="1"/>
      <c r="B12" s="9"/>
      <c r="C12" s="9"/>
      <c r="D12" s="25"/>
    </row>
    <row r="13" spans="1:6">
      <c r="A13" s="11" t="s">
        <v>2</v>
      </c>
      <c r="B13" s="9"/>
      <c r="C13" s="1"/>
      <c r="D13" s="27" t="s">
        <v>32</v>
      </c>
    </row>
    <row r="14" spans="1:6">
      <c r="A14" s="2" t="s">
        <v>10</v>
      </c>
      <c r="B14" s="9">
        <f t="shared" si="0"/>
        <v>5381.6456499999995</v>
      </c>
      <c r="C14" s="9">
        <f>3928.42*D3</f>
        <v>5067.6617999999999</v>
      </c>
      <c r="D14" s="25">
        <f>2920.78/12*D3</f>
        <v>313.98385000000002</v>
      </c>
      <c r="F14" s="34">
        <f>ROUND(B14*12,0)</f>
        <v>64580</v>
      </c>
    </row>
    <row r="15" spans="1:6">
      <c r="A15" s="4" t="s">
        <v>9</v>
      </c>
      <c r="B15" s="14">
        <f t="shared" si="0"/>
        <v>5730.1681749999998</v>
      </c>
      <c r="C15" s="8">
        <f>4182.83*D3</f>
        <v>5395.8507</v>
      </c>
      <c r="D15" s="26">
        <f>3109.93/12*D3</f>
        <v>334.31747499999994</v>
      </c>
      <c r="E15" s="15"/>
      <c r="F15" s="34">
        <f t="shared" ref="F15:F18" si="2">ROUND(B15*12,0)</f>
        <v>68762</v>
      </c>
    </row>
    <row r="16" spans="1:6">
      <c r="A16" s="2" t="s">
        <v>11</v>
      </c>
      <c r="B16" s="9">
        <f t="shared" si="0"/>
        <v>6129.2286000000004</v>
      </c>
      <c r="C16" s="10">
        <f>4474.13*D3</f>
        <v>5771.6277</v>
      </c>
      <c r="D16" s="25">
        <f>3326.52/12*D3</f>
        <v>357.60089999999997</v>
      </c>
      <c r="E16" s="15"/>
      <c r="F16" s="34">
        <f t="shared" si="2"/>
        <v>73551</v>
      </c>
    </row>
    <row r="17" spans="1:6">
      <c r="A17" s="2" t="s">
        <v>12</v>
      </c>
      <c r="B17" s="9">
        <f t="shared" si="0"/>
        <v>6536.3149750000002</v>
      </c>
      <c r="C17" s="10">
        <f>4771.29*D3</f>
        <v>6154.9641000000001</v>
      </c>
      <c r="D17" s="25">
        <f>3547.45/12*D3</f>
        <v>381.35087500000003</v>
      </c>
      <c r="F17" s="34">
        <f t="shared" si="2"/>
        <v>78436</v>
      </c>
    </row>
    <row r="18" spans="1:6">
      <c r="A18" s="2" t="s">
        <v>13</v>
      </c>
      <c r="B18" s="9">
        <f>C18+D18</f>
        <v>7310.8858</v>
      </c>
      <c r="C18" s="10">
        <f>5336.7*D3</f>
        <v>6884.3429999999998</v>
      </c>
      <c r="D18" s="25">
        <f>3967.84/12*D3</f>
        <v>426.54280000000006</v>
      </c>
      <c r="F18" s="34">
        <f t="shared" si="2"/>
        <v>87731</v>
      </c>
    </row>
    <row r="19" spans="1:6">
      <c r="A19" s="2"/>
      <c r="B19" s="2"/>
      <c r="C19" s="2"/>
      <c r="D19" s="2"/>
    </row>
    <row r="20" spans="1:6">
      <c r="A20" s="2" t="s">
        <v>36</v>
      </c>
      <c r="B20" s="2"/>
      <c r="C20" s="2"/>
      <c r="D20" s="2"/>
    </row>
    <row r="21" spans="1:6">
      <c r="A21" s="2" t="s">
        <v>9</v>
      </c>
      <c r="B21" s="2">
        <f>C21+D21</f>
        <v>5158.2929000000004</v>
      </c>
      <c r="C21" s="42">
        <f>3765.38*D3</f>
        <v>4857.3402000000006</v>
      </c>
      <c r="D21" s="42">
        <f>2799.56/12*D3</f>
        <v>300.95269999999999</v>
      </c>
    </row>
    <row r="22" spans="1:6">
      <c r="A22" s="2" t="s">
        <v>13</v>
      </c>
      <c r="B22" s="2">
        <f>C22+D22</f>
        <v>6151.02315</v>
      </c>
      <c r="C22" s="42">
        <f>4490.04*D3</f>
        <v>5792.1516000000001</v>
      </c>
      <c r="D22" s="42">
        <f>3338.34/12*D3</f>
        <v>358.87155000000001</v>
      </c>
    </row>
    <row r="23" spans="1:6">
      <c r="A23" s="2"/>
      <c r="B23" s="2"/>
      <c r="C23" s="2"/>
      <c r="D23" s="2"/>
    </row>
    <row r="24" spans="1:6">
      <c r="A24" s="2"/>
      <c r="B24" s="2"/>
      <c r="C24" s="2"/>
      <c r="D24" s="2"/>
    </row>
    <row r="25" spans="1:6">
      <c r="A25" s="2"/>
      <c r="B25" s="2"/>
      <c r="C25" s="2"/>
      <c r="D25" s="2"/>
    </row>
    <row r="26" spans="1:6">
      <c r="A26" s="2"/>
      <c r="B26" s="2"/>
      <c r="C26" s="2"/>
      <c r="D26" s="2"/>
    </row>
    <row r="27" spans="1:6">
      <c r="D27" t="s">
        <v>8</v>
      </c>
    </row>
    <row r="28" spans="1:6">
      <c r="A28" s="23" t="s">
        <v>28</v>
      </c>
      <c r="D28" s="6" t="s">
        <v>19</v>
      </c>
    </row>
    <row r="29" spans="1:6">
      <c r="A29" s="23"/>
      <c r="D29" s="6"/>
    </row>
    <row r="30" spans="1:6">
      <c r="A30" s="7" t="s">
        <v>3</v>
      </c>
      <c r="C30" s="5"/>
      <c r="D30" s="5"/>
      <c r="E30" s="5"/>
    </row>
    <row r="31" spans="1:6" s="33" customFormat="1">
      <c r="A31" t="s">
        <v>4</v>
      </c>
      <c r="B31"/>
      <c r="C31"/>
      <c r="D31"/>
    </row>
    <row r="32" spans="1:6" s="33" customFormat="1">
      <c r="A32" t="s">
        <v>5</v>
      </c>
      <c r="B32"/>
      <c r="C32"/>
      <c r="D32"/>
    </row>
    <row r="33" spans="1:4" s="33" customFormat="1">
      <c r="A33" t="s">
        <v>18</v>
      </c>
      <c r="B33"/>
      <c r="C33"/>
      <c r="D33"/>
    </row>
    <row r="34" spans="1:4" s="33" customFormat="1">
      <c r="A34" t="s">
        <v>16</v>
      </c>
      <c r="B34"/>
      <c r="C34"/>
      <c r="D34"/>
    </row>
    <row r="35" spans="1:4" s="33" customFormat="1" ht="10.5">
      <c r="A35" s="32"/>
    </row>
    <row r="36" spans="1:4">
      <c r="A36" s="45" t="s">
        <v>23</v>
      </c>
      <c r="B36" s="46"/>
      <c r="C36" s="46"/>
      <c r="D36" s="47"/>
    </row>
    <row r="37" spans="1:4" ht="29">
      <c r="B37" s="12" t="s">
        <v>20</v>
      </c>
      <c r="C37" s="12" t="s">
        <v>21</v>
      </c>
      <c r="D37" s="13" t="s">
        <v>22</v>
      </c>
    </row>
    <row r="38" spans="1:4">
      <c r="A38" s="3" t="s">
        <v>24</v>
      </c>
      <c r="B38" s="30"/>
      <c r="C38" s="30"/>
      <c r="D38" s="31"/>
    </row>
    <row r="39" spans="1:4">
      <c r="A39" s="17" t="s">
        <v>38</v>
      </c>
      <c r="B39" s="18">
        <v>14.87</v>
      </c>
      <c r="C39" s="19">
        <f>B39*D3</f>
        <v>19.182299999999998</v>
      </c>
      <c r="D39" s="43">
        <f>C39*40</f>
        <v>767.29199999999992</v>
      </c>
    </row>
    <row r="40" spans="1:4">
      <c r="A40" s="11" t="s">
        <v>25</v>
      </c>
      <c r="B40" s="22"/>
      <c r="C40" s="22"/>
      <c r="D40" s="2"/>
    </row>
    <row r="41" spans="1:4">
      <c r="A41" s="16" t="s">
        <v>38</v>
      </c>
      <c r="B41" s="20">
        <v>13.98</v>
      </c>
      <c r="C41" s="20">
        <f>B41*D3</f>
        <v>18.034200000000002</v>
      </c>
      <c r="D41" s="20">
        <f>C41*40</f>
        <v>721.36800000000005</v>
      </c>
    </row>
    <row r="43" spans="1:4" s="23" customFormat="1">
      <c r="A43" t="s">
        <v>39</v>
      </c>
    </row>
  </sheetData>
  <mergeCells count="2">
    <mergeCell ref="A1:D1"/>
    <mergeCell ref="A36:D36"/>
  </mergeCells>
  <pageMargins left="0.70866141732283472" right="0.70866141732283472" top="0.78740157480314965" bottom="0.78740157480314965" header="0.31496062992125984" footer="0.31496062992125984"/>
  <pageSetup paperSize="9" scale="7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bis Okt 24</vt:lpstr>
      <vt:lpstr>ab Nov 24</vt:lpstr>
      <vt:lpstr>ab Febr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hmuelle1</cp:lastModifiedBy>
  <cp:lastPrinted>2024-04-23T13:24:33Z</cp:lastPrinted>
  <dcterms:created xsi:type="dcterms:W3CDTF">2022-02-16T12:42:51Z</dcterms:created>
  <dcterms:modified xsi:type="dcterms:W3CDTF">2024-04-23T13:28:37Z</dcterms:modified>
</cp:coreProperties>
</file>